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defaultThemeVersion="166925"/>
  <mc:AlternateContent xmlns:mc="http://schemas.openxmlformats.org/markup-compatibility/2006">
    <mc:Choice Requires="x15">
      <x15ac:absPath xmlns:x15ac="http://schemas.microsoft.com/office/spreadsheetml/2010/11/ac" url="C:\Users\xnicm\Desktop\Rover\Technique\Calculs\Éléments mécaniques\"/>
    </mc:Choice>
  </mc:AlternateContent>
  <xr:revisionPtr revIDLastSave="0" documentId="13_ncr:1_{1824682B-2DB3-4ED4-A237-1AFDE02AB866}" xr6:coauthVersionLast="46" xr6:coauthVersionMax="46" xr10:uidLastSave="{00000000-0000-0000-0000-000000000000}"/>
  <bookViews>
    <workbookView xWindow="28680" yWindow="-1485" windowWidth="20730" windowHeight="11160" xr2:uid="{8A8A59E5-B580-411D-B26D-9C9EED1A5012}"/>
  </bookViews>
  <sheets>
    <sheet name="Calcules chute 50 cm" sheetId="4" r:id="rId1"/>
    <sheet name="Calcules rivets cisaillement " sheetId="3"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8" i="3" l="1"/>
  <c r="Q10" i="4"/>
  <c r="J10" i="4" s="1"/>
  <c r="J11" i="4" s="1"/>
  <c r="J16" i="4" s="1"/>
  <c r="Q9" i="4"/>
  <c r="J8" i="4" s="1"/>
  <c r="D34" i="4"/>
  <c r="J24" i="4"/>
  <c r="D12" i="4"/>
  <c r="E34" i="4"/>
  <c r="C34" i="4"/>
  <c r="E32" i="4"/>
  <c r="E31" i="4"/>
  <c r="I23" i="4"/>
  <c r="R13" i="4"/>
  <c r="Q13" i="4"/>
  <c r="P13" i="4"/>
  <c r="O13" i="4"/>
  <c r="K14" i="4"/>
  <c r="K18" i="4" s="1"/>
  <c r="J14" i="4"/>
  <c r="J18" i="4" s="1"/>
  <c r="I14" i="4"/>
  <c r="I18" i="4" s="1"/>
  <c r="R10" i="4"/>
  <c r="K10" i="4" s="1"/>
  <c r="K11" i="4" s="1"/>
  <c r="K16" i="4" s="1"/>
  <c r="P10" i="4"/>
  <c r="R9" i="4"/>
  <c r="K23" i="4" s="1"/>
  <c r="E10" i="4"/>
  <c r="E12" i="4" s="1"/>
  <c r="C10" i="4"/>
  <c r="C12" i="4" s="1"/>
  <c r="I8" i="4"/>
  <c r="I9" i="4" s="1"/>
  <c r="I15" i="4" s="1"/>
  <c r="C14" i="3"/>
  <c r="C15" i="3" s="1"/>
  <c r="D14" i="3"/>
  <c r="D10" i="3"/>
  <c r="C10" i="3"/>
  <c r="B10" i="3"/>
  <c r="B14" i="3"/>
  <c r="B27" i="3" l="1"/>
  <c r="C18" i="3"/>
  <c r="J23" i="4"/>
  <c r="D35" i="4"/>
  <c r="D36" i="4" s="1"/>
  <c r="J9" i="4"/>
  <c r="J15" i="4" s="1"/>
  <c r="J17" i="4" s="1"/>
  <c r="J20" i="4" s="1"/>
  <c r="D7" i="4" s="1"/>
  <c r="I10" i="4"/>
  <c r="I11" i="4" s="1"/>
  <c r="I16" i="4" s="1"/>
  <c r="I17" i="4" s="1"/>
  <c r="I20" i="4" s="1"/>
  <c r="C7" i="4" s="1"/>
  <c r="B8" i="3" s="1"/>
  <c r="E39" i="4"/>
  <c r="K8" i="4"/>
  <c r="K9" i="4" s="1"/>
  <c r="K15" i="4" s="1"/>
  <c r="K17" i="4" s="1"/>
  <c r="K20" i="4" s="1"/>
  <c r="E7" i="4" s="1"/>
  <c r="C35" i="4"/>
  <c r="C36" i="4" s="1"/>
  <c r="D39" i="4"/>
  <c r="E35" i="4"/>
  <c r="E36" i="4" s="1"/>
  <c r="C39" i="4"/>
  <c r="D18" i="3"/>
  <c r="D15" i="3"/>
  <c r="B15" i="3"/>
  <c r="B18" i="3"/>
  <c r="E28" i="4" l="1"/>
  <c r="E29" i="4" s="1"/>
  <c r="D8" i="3"/>
  <c r="D28" i="4"/>
  <c r="D29" i="4" s="1"/>
  <c r="J22" i="4"/>
  <c r="D17" i="4"/>
  <c r="D25" i="4" s="1"/>
  <c r="E38" i="4"/>
  <c r="D38" i="4"/>
  <c r="C28" i="4"/>
  <c r="C29" i="4" s="1"/>
  <c r="C17" i="4"/>
  <c r="C18" i="4" s="1"/>
  <c r="C20" i="4" s="1"/>
  <c r="I22" i="4"/>
  <c r="C38" i="4"/>
  <c r="K22" i="4"/>
  <c r="E17" i="4"/>
  <c r="E25" i="4" s="1"/>
  <c r="H7" i="4"/>
  <c r="C25" i="4" l="1"/>
  <c r="E19" i="4"/>
  <c r="E23" i="4" s="1"/>
  <c r="E24" i="4" s="1"/>
  <c r="E18" i="4"/>
  <c r="E20" i="4" s="1"/>
  <c r="C19" i="4"/>
  <c r="C23" i="4" s="1"/>
  <c r="C24" i="4" s="1"/>
  <c r="D19" i="4"/>
  <c r="D23" i="4" s="1"/>
  <c r="D24" i="4" s="1"/>
  <c r="D18" i="4"/>
  <c r="D20" i="4" s="1"/>
  <c r="B19" i="3" l="1"/>
  <c r="B20" i="3" s="1"/>
  <c r="B17" i="3"/>
  <c r="D19" i="3"/>
  <c r="D20" i="3" s="1"/>
  <c r="D17" i="3"/>
  <c r="C17" i="3"/>
  <c r="C19" i="3"/>
  <c r="C20" i="3" s="1"/>
  <c r="C22" i="3" l="1"/>
  <c r="B26" i="3" s="1"/>
  <c r="B22" i="3"/>
  <c r="D22" i="3"/>
</calcChain>
</file>

<file path=xl/sharedStrings.xml><?xml version="1.0" encoding="utf-8"?>
<sst xmlns="http://schemas.openxmlformats.org/spreadsheetml/2006/main" count="151" uniqueCount="103">
  <si>
    <t>a</t>
  </si>
  <si>
    <t>b</t>
  </si>
  <si>
    <t>P</t>
  </si>
  <si>
    <t>Alpha</t>
  </si>
  <si>
    <t>R</t>
  </si>
  <si>
    <t>r</t>
  </si>
  <si>
    <t>l</t>
  </si>
  <si>
    <t>c</t>
  </si>
  <si>
    <t>L</t>
  </si>
  <si>
    <t>N</t>
  </si>
  <si>
    <t>°</t>
  </si>
  <si>
    <t>m</t>
  </si>
  <si>
    <t>mm</t>
  </si>
  <si>
    <t>F1</t>
  </si>
  <si>
    <t>F2</t>
  </si>
  <si>
    <t>F3</t>
  </si>
  <si>
    <t>F4</t>
  </si>
  <si>
    <t>ky</t>
  </si>
  <si>
    <t>N/mm</t>
  </si>
  <si>
    <t>N/m</t>
  </si>
  <si>
    <t>kx</t>
  </si>
  <si>
    <t>k</t>
  </si>
  <si>
    <t>m/s</t>
  </si>
  <si>
    <t>V</t>
  </si>
  <si>
    <t>kg</t>
  </si>
  <si>
    <t>Ek</t>
  </si>
  <si>
    <t>Fmax</t>
  </si>
  <si>
    <t>Kflex</t>
  </si>
  <si>
    <t>Kcomp</t>
  </si>
  <si>
    <t>J</t>
  </si>
  <si>
    <t>Sigma max xx</t>
  </si>
  <si>
    <t>Sigma max</t>
  </si>
  <si>
    <t>Ix</t>
  </si>
  <si>
    <t>mm^4</t>
  </si>
  <si>
    <t xml:space="preserve">Spécifications </t>
  </si>
  <si>
    <t>Fibre</t>
  </si>
  <si>
    <t>80-20</t>
  </si>
  <si>
    <t>I</t>
  </si>
  <si>
    <t>A</t>
  </si>
  <si>
    <t>E</t>
  </si>
  <si>
    <t>GPa</t>
  </si>
  <si>
    <t>mm^2</t>
  </si>
  <si>
    <t>30 Series T-Slot Aluminium Extrusion Profile – HOONLY Aluminium Profile (haluminium.com)</t>
  </si>
  <si>
    <t>Données techniques Aluminium - Almet Metal (almet-metal.com)</t>
  </si>
  <si>
    <t>Cisallement</t>
  </si>
  <si>
    <t>Aluminium 80-20</t>
  </si>
  <si>
    <t>Mpa</t>
  </si>
  <si>
    <t xml:space="preserve">Force </t>
  </si>
  <si>
    <t>d M6</t>
  </si>
  <si>
    <t>Steels - Endurance Limits and Fatigue Stress (engineeringtoolbox.com)</t>
  </si>
  <si>
    <t>Re</t>
  </si>
  <si>
    <t>Tensile strenght</t>
  </si>
  <si>
    <t>Black-Oxide Alloy Steel Socket Head Screw, M6 x 1 mm Thread, 6 mm Long | McMaster-Carr</t>
  </si>
  <si>
    <t>MPa</t>
  </si>
  <si>
    <t>h</t>
  </si>
  <si>
    <t>Multipurpose 6061 Aluminum Rectangular Tube, 1/8" Wall Thickness, 1-1/4" High x 1-1/4" Wide | McMaster-Carr</t>
  </si>
  <si>
    <t>6061-T6</t>
  </si>
  <si>
    <t>Section : le tube rectangulaire (pats.ch)</t>
  </si>
  <si>
    <t>6061-T6 Aluminium - The Ultimate Guide - EngineeringClicks</t>
  </si>
  <si>
    <t>Tube carbone 1,08"</t>
  </si>
  <si>
    <t>Ultra-Strength Lightweight Carbon Fiber Tube, 0.04" Wall Thickness, 1.08" Square Outside Size, 32" Long | McMaster-Carr</t>
  </si>
  <si>
    <t>Young's Modulus is a Measure of Stiffness in Carbon Fibre (christinedemerchant.com)</t>
  </si>
  <si>
    <t>Fibre de carbon</t>
  </si>
  <si>
    <t>Carbon</t>
  </si>
  <si>
    <t>Nmm</t>
  </si>
  <si>
    <t>Torsion</t>
  </si>
  <si>
    <t>Ig</t>
  </si>
  <si>
    <t>v</t>
  </si>
  <si>
    <t>poisson Young G - Bing images</t>
  </si>
  <si>
    <t>Cours RDM: Torsion simple (technologuepro.com)</t>
  </si>
  <si>
    <t>Mtorsion</t>
  </si>
  <si>
    <t>Dep</t>
  </si>
  <si>
    <t>Composites elastic modulus and Poisson ratio | Sonelastic®</t>
  </si>
  <si>
    <t>MecaTools : Moments d'inertie de torsion (btscm.fr)</t>
  </si>
  <si>
    <t>G</t>
  </si>
  <si>
    <t>rad</t>
  </si>
  <si>
    <t>Ratio torsion</t>
  </si>
  <si>
    <t>Ratio masse</t>
  </si>
  <si>
    <t xml:space="preserve">Re min </t>
  </si>
  <si>
    <t>Re max</t>
  </si>
  <si>
    <t xml:space="preserve">Mmax </t>
  </si>
  <si>
    <t>BRACKET</t>
  </si>
  <si>
    <t>TUBE</t>
  </si>
  <si>
    <t xml:space="preserve">section A </t>
  </si>
  <si>
    <t>xbarre</t>
  </si>
  <si>
    <t>ybarre</t>
  </si>
  <si>
    <t>Cisaillement X</t>
  </si>
  <si>
    <t>Cisallement Y</t>
  </si>
  <si>
    <t>Cisaillement Tosion X</t>
  </si>
  <si>
    <t>Cisaillement Tosion Y</t>
  </si>
  <si>
    <t>T</t>
  </si>
  <si>
    <t>Cisaillement total par blots</t>
  </si>
  <si>
    <t>McMaster-Carr</t>
  </si>
  <si>
    <t>lbs</t>
  </si>
  <si>
    <t>Tube alu 2"x2"x1/8"</t>
  </si>
  <si>
    <t xml:space="preserve"> rivets 3/16 en alu prennent 310 lbs en cisaillement, je dois faire un trou ,192"-'196"</t>
  </si>
  <si>
    <t xml:space="preserve">Pour 4 rivets selon calculs de cisaillements </t>
  </si>
  <si>
    <t>Pour 2650 N à la roue (Moment équivalent)</t>
  </si>
  <si>
    <t>Calculs selon la page 455, Des matériaux, Baïlon</t>
  </si>
  <si>
    <t>Tube alu 2''</t>
  </si>
  <si>
    <t>Tube 2'' alu</t>
  </si>
  <si>
    <t>Propriétés de sections</t>
  </si>
  <si>
    <t>Réponse élastiques d'une poutre en flexion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</si>
</sst>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 #,##0.00_)_ ;_ * \(#,##0.00\)_ ;_ * &quot;-&quot;??_)_ ;_ @_ "/>
    <numFmt numFmtId="164" formatCode="0.0"/>
    <numFmt numFmtId="165" formatCode="0.0000"/>
  </numFmts>
  <fonts count="6" x14ac:knownFonts="1">
    <font>
      <sz val="11"/>
      <color theme="1"/>
      <name val="Calibri"/>
      <family val="2"/>
      <scheme val="minor"/>
    </font>
    <font>
      <sz val="11"/>
      <color theme="1"/>
      <name val="Calibri"/>
      <family val="2"/>
    </font>
    <font>
      <u/>
      <sz val="11"/>
      <color theme="10"/>
      <name val="Calibri"/>
      <family val="2"/>
      <scheme val="minor"/>
    </font>
    <font>
      <sz val="11"/>
      <color theme="1"/>
      <name val="Calibri"/>
      <family val="2"/>
      <scheme val="minor"/>
    </font>
    <font>
      <sz val="11"/>
      <color rgb="FF9C0006"/>
      <name val="Calibri"/>
      <family val="2"/>
      <scheme val="minor"/>
    </font>
    <font>
      <sz val="11"/>
      <color rgb="FF3F3F76"/>
      <name val="Calibri"/>
      <family val="2"/>
      <scheme val="minor"/>
    </font>
  </fonts>
  <fills count="7">
    <fill>
      <patternFill patternType="none"/>
    </fill>
    <fill>
      <patternFill patternType="gray125"/>
    </fill>
    <fill>
      <patternFill patternType="solid">
        <fgColor rgb="FFFFFF00"/>
        <bgColor indexed="64"/>
      </patternFill>
    </fill>
    <fill>
      <patternFill patternType="solid">
        <fgColor rgb="FFFFC7CE"/>
      </patternFill>
    </fill>
    <fill>
      <patternFill patternType="solid">
        <fgColor rgb="FFFFCC99"/>
      </patternFill>
    </fill>
    <fill>
      <patternFill patternType="solid">
        <fgColor theme="7" tint="0.59999389629810485"/>
        <bgColor indexed="64"/>
      </patternFill>
    </fill>
    <fill>
      <patternFill patternType="solid">
        <fgColor rgb="FF00B050"/>
        <bgColor indexed="64"/>
      </patternFill>
    </fill>
  </fills>
  <borders count="14">
    <border>
      <left/>
      <right/>
      <top/>
      <bottom/>
      <diagonal/>
    </border>
    <border>
      <left style="thin">
        <color rgb="FF7F7F7F"/>
      </left>
      <right style="thin">
        <color rgb="FF7F7F7F"/>
      </right>
      <top style="thin">
        <color rgb="FF7F7F7F"/>
      </top>
      <bottom style="thin">
        <color rgb="FF7F7F7F"/>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rgb="FF7F7F7F"/>
      </left>
      <right style="thin">
        <color rgb="FF7F7F7F"/>
      </right>
      <top style="thin">
        <color rgb="FF7F7F7F"/>
      </top>
      <bottom style="medium">
        <color indexed="64"/>
      </bottom>
      <diagonal/>
    </border>
  </borders>
  <cellStyleXfs count="6">
    <xf numFmtId="0" fontId="0" fillId="0" borderId="0"/>
    <xf numFmtId="0" fontId="2" fillId="0" borderId="0" applyNumberFormat="0" applyFill="0" applyBorder="0" applyAlignment="0" applyProtection="0"/>
    <xf numFmtId="43" fontId="3" fillId="0" borderId="0" applyFont="0" applyFill="0" applyBorder="0" applyAlignment="0" applyProtection="0"/>
    <xf numFmtId="9" fontId="3" fillId="0" borderId="0" applyFont="0" applyFill="0" applyBorder="0" applyAlignment="0" applyProtection="0"/>
    <xf numFmtId="0" fontId="4" fillId="3" borderId="0" applyNumberFormat="0" applyBorder="0" applyAlignment="0" applyProtection="0"/>
    <xf numFmtId="0" fontId="5" fillId="4" borderId="1" applyNumberFormat="0" applyAlignment="0" applyProtection="0"/>
  </cellStyleXfs>
  <cellXfs count="62">
    <xf numFmtId="0" fontId="0" fillId="0" borderId="0" xfId="0"/>
    <xf numFmtId="0" fontId="2" fillId="0" borderId="0" xfId="1"/>
    <xf numFmtId="1" fontId="0" fillId="0" borderId="0" xfId="0" applyNumberFormat="1"/>
    <xf numFmtId="2" fontId="0" fillId="0" borderId="0" xfId="0" applyNumberFormat="1"/>
    <xf numFmtId="43" fontId="0" fillId="0" borderId="0" xfId="2" applyFont="1"/>
    <xf numFmtId="164" fontId="0" fillId="0" borderId="0" xfId="0" applyNumberFormat="1"/>
    <xf numFmtId="165" fontId="0" fillId="0" borderId="0" xfId="0" applyNumberFormat="1"/>
    <xf numFmtId="0" fontId="0" fillId="2" borderId="0" xfId="0" applyFill="1"/>
    <xf numFmtId="0" fontId="0" fillId="0" borderId="2" xfId="0" applyBorder="1"/>
    <xf numFmtId="0" fontId="0" fillId="0" borderId="3" xfId="0" applyBorder="1"/>
    <xf numFmtId="0" fontId="0" fillId="0" borderId="4" xfId="0" applyBorder="1"/>
    <xf numFmtId="0" fontId="0" fillId="0" borderId="5" xfId="0" applyBorder="1"/>
    <xf numFmtId="0" fontId="0" fillId="0" borderId="0" xfId="0" applyBorder="1"/>
    <xf numFmtId="0" fontId="0" fillId="0" borderId="6" xfId="0" applyBorder="1"/>
    <xf numFmtId="1" fontId="0" fillId="0" borderId="0" xfId="0" applyNumberFormat="1" applyBorder="1"/>
    <xf numFmtId="0" fontId="0" fillId="0" borderId="7" xfId="0" applyBorder="1"/>
    <xf numFmtId="1" fontId="0" fillId="0" borderId="8" xfId="0" applyNumberFormat="1" applyBorder="1"/>
    <xf numFmtId="0" fontId="0" fillId="0" borderId="9" xfId="0" applyBorder="1"/>
    <xf numFmtId="2" fontId="0" fillId="0" borderId="0" xfId="0" applyNumberFormat="1" applyBorder="1"/>
    <xf numFmtId="1" fontId="0" fillId="0" borderId="3" xfId="0" applyNumberFormat="1" applyBorder="1"/>
    <xf numFmtId="0" fontId="1" fillId="0" borderId="6" xfId="0" applyFont="1" applyBorder="1"/>
    <xf numFmtId="0" fontId="0" fillId="0" borderId="10" xfId="0" applyBorder="1"/>
    <xf numFmtId="0" fontId="0" fillId="0" borderId="11" xfId="0" applyBorder="1"/>
    <xf numFmtId="0" fontId="0" fillId="0" borderId="12" xfId="0" applyBorder="1"/>
    <xf numFmtId="43" fontId="0" fillId="0" borderId="0" xfId="2" applyFont="1" applyBorder="1"/>
    <xf numFmtId="11" fontId="0" fillId="0" borderId="0" xfId="0" applyNumberFormat="1" applyBorder="1"/>
    <xf numFmtId="11" fontId="0" fillId="0" borderId="8" xfId="0" applyNumberFormat="1" applyBorder="1"/>
    <xf numFmtId="2" fontId="0" fillId="0" borderId="3" xfId="0" applyNumberFormat="1" applyBorder="1"/>
    <xf numFmtId="9" fontId="0" fillId="0" borderId="8" xfId="3" applyFont="1" applyBorder="1"/>
    <xf numFmtId="0" fontId="0" fillId="0" borderId="8" xfId="0" applyBorder="1"/>
    <xf numFmtId="1" fontId="0" fillId="0" borderId="11" xfId="0" applyNumberFormat="1" applyBorder="1"/>
    <xf numFmtId="11" fontId="0" fillId="0" borderId="8" xfId="2" applyNumberFormat="1" applyFont="1" applyBorder="1"/>
    <xf numFmtId="11" fontId="0" fillId="0" borderId="0" xfId="2" applyNumberFormat="1" applyFont="1" applyBorder="1"/>
    <xf numFmtId="0" fontId="2" fillId="2" borderId="0" xfId="1" applyFill="1"/>
    <xf numFmtId="164" fontId="0" fillId="2" borderId="0" xfId="0" applyNumberFormat="1" applyFill="1"/>
    <xf numFmtId="0" fontId="0" fillId="0" borderId="8" xfId="0"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5" borderId="11" xfId="0" applyFill="1" applyBorder="1"/>
    <xf numFmtId="1" fontId="0" fillId="5" borderId="0" xfId="0" applyNumberFormat="1" applyFill="1" applyBorder="1"/>
    <xf numFmtId="0" fontId="0" fillId="5" borderId="0" xfId="0" applyFill="1" applyBorder="1"/>
    <xf numFmtId="2" fontId="0" fillId="5" borderId="0" xfId="0" applyNumberFormat="1" applyFill="1" applyBorder="1"/>
    <xf numFmtId="1" fontId="0" fillId="5" borderId="8" xfId="0" applyNumberFormat="1" applyFill="1" applyBorder="1"/>
    <xf numFmtId="1" fontId="0" fillId="5" borderId="0" xfId="0" applyNumberFormat="1" applyFill="1"/>
    <xf numFmtId="1" fontId="0" fillId="5" borderId="3" xfId="0" applyNumberFormat="1" applyFill="1" applyBorder="1"/>
    <xf numFmtId="11" fontId="0" fillId="5" borderId="8" xfId="0" applyNumberFormat="1" applyFill="1" applyBorder="1"/>
    <xf numFmtId="0" fontId="0" fillId="5" borderId="3" xfId="0" applyFill="1" applyBorder="1"/>
    <xf numFmtId="0" fontId="0" fillId="5" borderId="8" xfId="0" applyFill="1" applyBorder="1"/>
    <xf numFmtId="1" fontId="3" fillId="5" borderId="1" xfId="5" applyNumberFormat="1" applyFont="1" applyFill="1" applyBorder="1"/>
    <xf numFmtId="0" fontId="3" fillId="5" borderId="1" xfId="5" applyFont="1" applyFill="1" applyBorder="1"/>
    <xf numFmtId="1" fontId="3" fillId="5" borderId="13" xfId="5" applyNumberFormat="1" applyFont="1" applyFill="1" applyBorder="1"/>
    <xf numFmtId="1" fontId="0" fillId="5" borderId="11" xfId="0" applyNumberFormat="1" applyFill="1" applyBorder="1"/>
    <xf numFmtId="11" fontId="0" fillId="5" borderId="0" xfId="2" applyNumberFormat="1" applyFont="1" applyFill="1" applyBorder="1"/>
    <xf numFmtId="43" fontId="0" fillId="5" borderId="0" xfId="2" applyFont="1" applyFill="1" applyBorder="1"/>
    <xf numFmtId="0" fontId="0" fillId="5" borderId="0" xfId="0" applyFill="1"/>
    <xf numFmtId="11" fontId="0" fillId="5" borderId="0" xfId="0" applyNumberFormat="1" applyFill="1" applyBorder="1"/>
    <xf numFmtId="2" fontId="0" fillId="5" borderId="3" xfId="0" applyNumberFormat="1" applyFill="1" applyBorder="1"/>
    <xf numFmtId="9" fontId="0" fillId="5" borderId="8" xfId="3" applyFont="1" applyFill="1" applyBorder="1"/>
    <xf numFmtId="1" fontId="3" fillId="5" borderId="8" xfId="4" applyNumberFormat="1" applyFont="1" applyFill="1" applyBorder="1"/>
    <xf numFmtId="0" fontId="0" fillId="6" borderId="5" xfId="0" applyFill="1" applyBorder="1"/>
    <xf numFmtId="0" fontId="0" fillId="0" borderId="0" xfId="0" applyFill="1"/>
  </cellXfs>
  <cellStyles count="6">
    <cellStyle name="Entrée" xfId="5" builtinId="20"/>
    <cellStyle name="Insatisfaisant" xfId="4" builtinId="27"/>
    <cellStyle name="Lien hypertexte" xfId="1" builtinId="8"/>
    <cellStyle name="Milliers" xfId="2" builtinId="3"/>
    <cellStyle name="Normal" xfId="0" builtinId="0"/>
    <cellStyle name="Pourcentage" xfId="3" builtinId="5"/>
  </cellStyles>
  <dxfs count="0"/>
  <tableStyles count="0" defaultTableStyle="TableStyleMedium2" defaultPivotStyle="PivotStyleLight16"/>
  <colors>
    <mruColors>
      <color rgb="FFFFBDB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3" Type="http://schemas.openxmlformats.org/officeDocument/2006/relationships/theme" Target="theme/theme1.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 Id="rId9"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1</xdr:col>
      <xdr:colOff>224118</xdr:colOff>
      <xdr:row>0</xdr:row>
      <xdr:rowOff>112059</xdr:rowOff>
    </xdr:from>
    <xdr:to>
      <xdr:col>10</xdr:col>
      <xdr:colOff>268941</xdr:colOff>
      <xdr:row>3</xdr:row>
      <xdr:rowOff>112059</xdr:rowOff>
    </xdr:to>
    <xdr:sp macro="" textlink="">
      <xdr:nvSpPr>
        <xdr:cNvPr id="2" name="ZoneTexte 1">
          <a:extLst>
            <a:ext uri="{FF2B5EF4-FFF2-40B4-BE49-F238E27FC236}">
              <a16:creationId xmlns:a16="http://schemas.microsoft.com/office/drawing/2014/main" id="{B41BA1F9-CCC6-4F63-8C4A-7EEC9B5EFE0A}"/>
            </a:ext>
          </a:extLst>
        </xdr:cNvPr>
        <xdr:cNvSpPr txBox="1"/>
      </xdr:nvSpPr>
      <xdr:spPr>
        <a:xfrm>
          <a:off x="470647" y="112059"/>
          <a:ext cx="6768353" cy="53788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fr-CA" sz="1100"/>
            <a:t>Cette</a:t>
          </a:r>
          <a:r>
            <a:rPr lang="fr-CA" sz="1100" baseline="0"/>
            <a:t> page </a:t>
          </a:r>
          <a:r>
            <a:rPr lang="fr-CA" sz="1100"/>
            <a:t>Excel présente les calculs analytiques réalisés pour valider l'ordre</a:t>
          </a:r>
          <a:r>
            <a:rPr lang="fr-CA" sz="1100" baseline="0"/>
            <a:t> de grandeur  de la force d'impact du rover lors d'une chute de 50 cm. La force de réaction caractérisée pour des emmbrures en aluminium de 2'' est de 15 kN par côté du rover. Soit environ 7,5 kN par roues.</a:t>
          </a:r>
          <a:endParaRPr lang="fr-CA" sz="1100"/>
        </a:p>
      </xdr:txBody>
    </xdr:sp>
    <xdr:clientData/>
  </xdr:twoCellAnchor>
  <xdr:twoCellAnchor editAs="oneCell">
    <xdr:from>
      <xdr:col>14</xdr:col>
      <xdr:colOff>0</xdr:colOff>
      <xdr:row>23</xdr:row>
      <xdr:rowOff>0</xdr:rowOff>
    </xdr:from>
    <xdr:to>
      <xdr:col>24</xdr:col>
      <xdr:colOff>225136</xdr:colOff>
      <xdr:row>38</xdr:row>
      <xdr:rowOff>180049</xdr:rowOff>
    </xdr:to>
    <xdr:pic>
      <xdr:nvPicPr>
        <xdr:cNvPr id="3" name="Image 2">
          <a:extLst>
            <a:ext uri="{FF2B5EF4-FFF2-40B4-BE49-F238E27FC236}">
              <a16:creationId xmlns:a16="http://schemas.microsoft.com/office/drawing/2014/main" id="{18DE1220-E5E0-4DAD-A10B-47ED9491E8FD}"/>
            </a:ext>
          </a:extLst>
        </xdr:cNvPr>
        <xdr:cNvPicPr>
          <a:picLocks noChangeAspect="1"/>
        </xdr:cNvPicPr>
      </xdr:nvPicPr>
      <xdr:blipFill>
        <a:blip xmlns:r="http://schemas.openxmlformats.org/officeDocument/2006/relationships" r:embed="rId1"/>
        <a:stretch>
          <a:fillRect/>
        </a:stretch>
      </xdr:blipFill>
      <xdr:spPr>
        <a:xfrm>
          <a:off x="8589818" y="4121727"/>
          <a:ext cx="7689273" cy="2950958"/>
        </a:xfrm>
        <a:prstGeom prst="rect">
          <a:avLst/>
        </a:prstGeom>
      </xdr:spPr>
    </xdr:pic>
    <xdr:clientData/>
  </xdr:twoCellAnchor>
  <xdr:twoCellAnchor editAs="oneCell">
    <xdr:from>
      <xdr:col>14</xdr:col>
      <xdr:colOff>762000</xdr:colOff>
      <xdr:row>39</xdr:row>
      <xdr:rowOff>103909</xdr:rowOff>
    </xdr:from>
    <xdr:to>
      <xdr:col>22</xdr:col>
      <xdr:colOff>32731</xdr:colOff>
      <xdr:row>82</xdr:row>
      <xdr:rowOff>51294</xdr:rowOff>
    </xdr:to>
    <xdr:pic>
      <xdr:nvPicPr>
        <xdr:cNvPr id="4" name="Image 3">
          <a:extLst>
            <a:ext uri="{FF2B5EF4-FFF2-40B4-BE49-F238E27FC236}">
              <a16:creationId xmlns:a16="http://schemas.microsoft.com/office/drawing/2014/main" id="{90C3E314-C114-4F8E-BCC7-039622D76B36}"/>
            </a:ext>
          </a:extLst>
        </xdr:cNvPr>
        <xdr:cNvPicPr>
          <a:picLocks noChangeAspect="1"/>
        </xdr:cNvPicPr>
      </xdr:nvPicPr>
      <xdr:blipFill>
        <a:blip xmlns:r="http://schemas.openxmlformats.org/officeDocument/2006/relationships" r:embed="rId2"/>
        <a:stretch>
          <a:fillRect/>
        </a:stretch>
      </xdr:blipFill>
      <xdr:spPr>
        <a:xfrm>
          <a:off x="9351818" y="7187045"/>
          <a:ext cx="5141595" cy="739420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499793</xdr:colOff>
      <xdr:row>8</xdr:row>
      <xdr:rowOff>55006</xdr:rowOff>
    </xdr:from>
    <xdr:to>
      <xdr:col>12</xdr:col>
      <xdr:colOff>703008</xdr:colOff>
      <xdr:row>33</xdr:row>
      <xdr:rowOff>110761</xdr:rowOff>
    </xdr:to>
    <xdr:pic>
      <xdr:nvPicPr>
        <xdr:cNvPr id="2" name="Image 1">
          <a:extLst>
            <a:ext uri="{FF2B5EF4-FFF2-40B4-BE49-F238E27FC236}">
              <a16:creationId xmlns:a16="http://schemas.microsoft.com/office/drawing/2014/main" id="{8C44D783-5EE6-46D6-868E-DC235DE9C8BC}"/>
            </a:ext>
          </a:extLst>
        </xdr:cNvPr>
        <xdr:cNvPicPr>
          <a:picLocks noChangeAspect="1"/>
        </xdr:cNvPicPr>
      </xdr:nvPicPr>
      <xdr:blipFill>
        <a:blip xmlns:r="http://schemas.openxmlformats.org/officeDocument/2006/relationships" r:embed="rId1"/>
        <a:stretch>
          <a:fillRect/>
        </a:stretch>
      </xdr:blipFill>
      <xdr:spPr>
        <a:xfrm>
          <a:off x="8963436" y="1647042"/>
          <a:ext cx="3375312" cy="4478076"/>
        </a:xfrm>
        <a:prstGeom prst="rect">
          <a:avLst/>
        </a:prstGeom>
      </xdr:spPr>
    </xdr:pic>
    <xdr:clientData/>
  </xdr:twoCellAnchor>
  <xdr:twoCellAnchor editAs="oneCell">
    <xdr:from>
      <xdr:col>18</xdr:col>
      <xdr:colOff>3312</xdr:colOff>
      <xdr:row>8</xdr:row>
      <xdr:rowOff>120123</xdr:rowOff>
    </xdr:from>
    <xdr:to>
      <xdr:col>22</xdr:col>
      <xdr:colOff>136646</xdr:colOff>
      <xdr:row>33</xdr:row>
      <xdr:rowOff>154536</xdr:rowOff>
    </xdr:to>
    <xdr:pic>
      <xdr:nvPicPr>
        <xdr:cNvPr id="3" name="Image 2">
          <a:extLst>
            <a:ext uri="{FF2B5EF4-FFF2-40B4-BE49-F238E27FC236}">
              <a16:creationId xmlns:a16="http://schemas.microsoft.com/office/drawing/2014/main" id="{936D08C0-D0A9-4F41-9C59-503CA6D6FA24}"/>
            </a:ext>
          </a:extLst>
        </xdr:cNvPr>
        <xdr:cNvPicPr>
          <a:picLocks noChangeAspect="1"/>
        </xdr:cNvPicPr>
      </xdr:nvPicPr>
      <xdr:blipFill>
        <a:blip xmlns:r="http://schemas.openxmlformats.org/officeDocument/2006/relationships" r:embed="rId2"/>
        <a:stretch>
          <a:fillRect/>
        </a:stretch>
      </xdr:blipFill>
      <xdr:spPr>
        <a:xfrm>
          <a:off x="16359098" y="1535266"/>
          <a:ext cx="3290191" cy="4456734"/>
        </a:xfrm>
        <a:prstGeom prst="rect">
          <a:avLst/>
        </a:prstGeom>
      </xdr:spPr>
    </xdr:pic>
    <xdr:clientData/>
  </xdr:twoCellAnchor>
  <xdr:twoCellAnchor editAs="oneCell">
    <xdr:from>
      <xdr:col>13</xdr:col>
      <xdr:colOff>127144</xdr:colOff>
      <xdr:row>8</xdr:row>
      <xdr:rowOff>89119</xdr:rowOff>
    </xdr:from>
    <xdr:to>
      <xdr:col>17</xdr:col>
      <xdr:colOff>649495</xdr:colOff>
      <xdr:row>33</xdr:row>
      <xdr:rowOff>126995</xdr:rowOff>
    </xdr:to>
    <xdr:pic>
      <xdr:nvPicPr>
        <xdr:cNvPr id="4" name="Image 3">
          <a:extLst>
            <a:ext uri="{FF2B5EF4-FFF2-40B4-BE49-F238E27FC236}">
              <a16:creationId xmlns:a16="http://schemas.microsoft.com/office/drawing/2014/main" id="{93B635AB-CFD9-4CE8-B0A3-A9853EFCF5E1}"/>
            </a:ext>
          </a:extLst>
        </xdr:cNvPr>
        <xdr:cNvPicPr>
          <a:picLocks noChangeAspect="1"/>
        </xdr:cNvPicPr>
      </xdr:nvPicPr>
      <xdr:blipFill>
        <a:blip xmlns:r="http://schemas.openxmlformats.org/officeDocument/2006/relationships" r:embed="rId3"/>
        <a:stretch>
          <a:fillRect/>
        </a:stretch>
      </xdr:blipFill>
      <xdr:spPr>
        <a:xfrm>
          <a:off x="12536858" y="1504262"/>
          <a:ext cx="3679208" cy="4460197"/>
        </a:xfrm>
        <a:prstGeom prst="rect">
          <a:avLst/>
        </a:prstGeom>
      </xdr:spPr>
    </xdr:pic>
    <xdr:clientData/>
  </xdr:twoCellAnchor>
  <xdr:twoCellAnchor>
    <xdr:from>
      <xdr:col>0</xdr:col>
      <xdr:colOff>179070</xdr:colOff>
      <xdr:row>0</xdr:row>
      <xdr:rowOff>53340</xdr:rowOff>
    </xdr:from>
    <xdr:to>
      <xdr:col>4</xdr:col>
      <xdr:colOff>647700</xdr:colOff>
      <xdr:row>6</xdr:row>
      <xdr:rowOff>9525</xdr:rowOff>
    </xdr:to>
    <xdr:sp macro="" textlink="">
      <xdr:nvSpPr>
        <xdr:cNvPr id="5" name="ZoneTexte 4">
          <a:extLst>
            <a:ext uri="{FF2B5EF4-FFF2-40B4-BE49-F238E27FC236}">
              <a16:creationId xmlns:a16="http://schemas.microsoft.com/office/drawing/2014/main" id="{99EEFEDB-84BF-400F-AB21-A1E37B5D3E5A}"/>
            </a:ext>
          </a:extLst>
        </xdr:cNvPr>
        <xdr:cNvSpPr txBox="1"/>
      </xdr:nvSpPr>
      <xdr:spPr>
        <a:xfrm>
          <a:off x="179070" y="53340"/>
          <a:ext cx="5774055" cy="10420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fr-CA" sz="1100"/>
            <a:t>Cette page Excel</a:t>
          </a:r>
          <a:r>
            <a:rPr lang="fr-CA" sz="1100" baseline="0"/>
            <a:t> présente les résultats appliqués au support principale rocker du rover selon les calculs illutrés à la page 454 du livre "Des matériaux". En jaune, la force prise par les riverts du supports selon la méthode du livre et selon le calcul d'un moment équivalent avec les force de 2,65 kN déterminée lors de la caractérisation du chargement selon une analyse dynamiques explicite.</a:t>
          </a:r>
          <a:endParaRPr lang="fr-CA" sz="1100"/>
        </a:p>
      </xdr:txBody>
    </xdr:sp>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bing.com/images/search?view=detailV2&amp;ccid=8r9pd4XE&amp;id=268C6A3FB22480F6E886C0AFFF0E4FFE78F44BDE&amp;thid=OIP.8r9pd4XEOzvG8DaYvEBB-wHaEx&amp;mediaurl=https%3a%2f%2fth.bing.com%2fth%2fid%2fRf2bf697785c43b3bc6f03698bc4041fb%3frik%3d3kv0eP5PDv%252bvwA%26riu%3dhttp%253a%252f%252fpolymerdatabase.com%252fpolymer%2bphysics%252fimages%252fPoisson2.png%26ehk%3dwicqnfbMXvjtIHx8CNktTPnVjkDXCflNly7t8FJp7%252fM%253d%26risl%3d%26pid%3dImgRaw&amp;exph=387&amp;expw=601&amp;q=poisson+Young+G&amp;simid=608028504938906975&amp;ck=436B0AAFED4ADFC2F4F755B424496F17&amp;selectedIndex=14&amp;FORM=IRPRST&amp;ajaxhist=0" TargetMode="External"/><Relationship Id="rId13" Type="http://schemas.openxmlformats.org/officeDocument/2006/relationships/drawing" Target="../drawings/drawing1.xml"/><Relationship Id="rId3" Type="http://schemas.openxmlformats.org/officeDocument/2006/relationships/hyperlink" Target="https://www.mcmaster.com/6546K56/" TargetMode="External"/><Relationship Id="rId7" Type="http://schemas.openxmlformats.org/officeDocument/2006/relationships/hyperlink" Target="https://www.christinedemerchant.com/youngmodulus.html" TargetMode="External"/><Relationship Id="rId12" Type="http://schemas.openxmlformats.org/officeDocument/2006/relationships/printerSettings" Target="../printerSettings/printerSettings1.bin"/><Relationship Id="rId2" Type="http://schemas.openxmlformats.org/officeDocument/2006/relationships/hyperlink" Target="https://almet-metal.com/informations-techniques/donnees-aluminium" TargetMode="External"/><Relationship Id="rId1" Type="http://schemas.openxmlformats.org/officeDocument/2006/relationships/hyperlink" Target="https://haluminium.com/Product/30-series-t-slot-aluminium-extrusion-profile/" TargetMode="External"/><Relationship Id="rId6" Type="http://schemas.openxmlformats.org/officeDocument/2006/relationships/hyperlink" Target="https://www.mcmaster.com/2040N14/" TargetMode="External"/><Relationship Id="rId11" Type="http://schemas.openxmlformats.org/officeDocument/2006/relationships/hyperlink" Target="http://www.btscm.fr/dicocm/T/torsion/" TargetMode="External"/><Relationship Id="rId5" Type="http://schemas.openxmlformats.org/officeDocument/2006/relationships/hyperlink" Target="https://www.engineeringclicks.com/6061-t6-aluminum/" TargetMode="External"/><Relationship Id="rId10" Type="http://schemas.openxmlformats.org/officeDocument/2006/relationships/hyperlink" Target="https://sonelastic.com/en/fundamentals/tables-of-materials-properties/composites.html" TargetMode="External"/><Relationship Id="rId4" Type="http://schemas.openxmlformats.org/officeDocument/2006/relationships/hyperlink" Target="http://www.pats.ch/formulaire/resmat/resmat3.aspx" TargetMode="External"/><Relationship Id="rId9" Type="http://schemas.openxmlformats.org/officeDocument/2006/relationships/hyperlink" Target="https://www.technologuepro.com/resistance-des-materiaux-2/chapitre-5-torsion-simple.pdf"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www.mcmaster.com/Rivets/aluminum-domed-head-blind-rivets/" TargetMode="External"/><Relationship Id="rId2" Type="http://schemas.openxmlformats.org/officeDocument/2006/relationships/hyperlink" Target="https://www.mcmaster.com/91290A310/" TargetMode="External"/><Relationship Id="rId1" Type="http://schemas.openxmlformats.org/officeDocument/2006/relationships/hyperlink" Target="https://www.engineeringtoolbox.com/steel-endurance-limit-d_1781.html" TargetMode="Externa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D4FB31-EEBA-4A14-9961-DD78CE7CD4BF}">
  <dimension ref="B5:T39"/>
  <sheetViews>
    <sheetView tabSelected="1" zoomScale="85" zoomScaleNormal="85" workbookViewId="0">
      <selection activeCell="O41" sqref="O41"/>
    </sheetView>
  </sheetViews>
  <sheetFormatPr baseColWidth="10" defaultRowHeight="14.4" x14ac:dyDescent="0.3"/>
  <cols>
    <col min="1" max="1" width="3.6640625" customWidth="1"/>
    <col min="2" max="2" width="12" customWidth="1"/>
    <col min="3" max="3" width="14.88671875" bestFit="1" customWidth="1"/>
    <col min="4" max="4" width="14.109375" bestFit="1" customWidth="1"/>
    <col min="5" max="5" width="14.88671875" customWidth="1"/>
    <col min="6" max="6" width="6" customWidth="1"/>
    <col min="7" max="7" width="3.6640625" customWidth="1"/>
    <col min="8" max="8" width="8.5546875" customWidth="1"/>
    <col min="9" max="10" width="12" bestFit="1" customWidth="1"/>
    <col min="11" max="11" width="12" customWidth="1"/>
    <col min="12" max="12" width="6.21875" bestFit="1" customWidth="1"/>
    <col min="13" max="13" width="3.6640625" customWidth="1"/>
    <col min="14" max="14" width="2.21875" bestFit="1" customWidth="1"/>
    <col min="15" max="15" width="12.6640625" bestFit="1" customWidth="1"/>
    <col min="16" max="16" width="6" bestFit="1" customWidth="1"/>
    <col min="17" max="17" width="17.109375" bestFit="1" customWidth="1"/>
    <col min="18" max="18" width="16.88671875" bestFit="1" customWidth="1"/>
    <col min="19" max="19" width="6.109375" bestFit="1" customWidth="1"/>
    <col min="20" max="20" width="3.6640625" customWidth="1"/>
  </cols>
  <sheetData>
    <row r="5" spans="2:20" ht="15" thickBot="1" x14ac:dyDescent="0.35"/>
    <row r="6" spans="2:20" ht="15" thickBot="1" x14ac:dyDescent="0.35">
      <c r="B6" s="21"/>
      <c r="C6" s="22" t="s">
        <v>45</v>
      </c>
      <c r="D6" s="22" t="s">
        <v>100</v>
      </c>
      <c r="E6" s="22" t="s">
        <v>63</v>
      </c>
      <c r="F6" s="23"/>
      <c r="H6" s="35" t="s">
        <v>102</v>
      </c>
      <c r="I6" s="35"/>
      <c r="J6" s="35"/>
      <c r="K6" s="35"/>
      <c r="L6" s="35"/>
      <c r="N6" s="36" t="s">
        <v>101</v>
      </c>
      <c r="O6" s="37"/>
      <c r="P6" s="37"/>
      <c r="Q6" s="37"/>
      <c r="R6" s="37"/>
      <c r="S6" s="38"/>
    </row>
    <row r="7" spans="2:20" ht="15" thickBot="1" x14ac:dyDescent="0.35">
      <c r="B7" s="60" t="s">
        <v>2</v>
      </c>
      <c r="C7" s="14">
        <f>I20</f>
        <v>4849.1563038521872</v>
      </c>
      <c r="D7" s="49">
        <f>J20</f>
        <v>14759.27473221553</v>
      </c>
      <c r="E7" s="14">
        <f>K20</f>
        <v>5286.2693014543947</v>
      </c>
      <c r="F7" s="13" t="s">
        <v>9</v>
      </c>
      <c r="H7" s="21">
        <f>D7*0.5*0.5*0.5</f>
        <v>1844.9093415269413</v>
      </c>
      <c r="I7" s="22" t="s">
        <v>36</v>
      </c>
      <c r="J7" s="39" t="s">
        <v>100</v>
      </c>
      <c r="K7" s="22" t="s">
        <v>62</v>
      </c>
      <c r="L7" s="23"/>
      <c r="N7" s="8"/>
      <c r="O7" s="9" t="s">
        <v>34</v>
      </c>
      <c r="P7" s="9"/>
      <c r="Q7" s="47" t="s">
        <v>56</v>
      </c>
      <c r="R7" s="9"/>
      <c r="S7" s="10"/>
      <c r="T7" s="12"/>
    </row>
    <row r="8" spans="2:20" ht="15" thickBot="1" x14ac:dyDescent="0.35">
      <c r="B8" s="11" t="s">
        <v>3</v>
      </c>
      <c r="C8" s="12">
        <v>30</v>
      </c>
      <c r="D8" s="50">
        <v>30</v>
      </c>
      <c r="E8" s="12">
        <v>30</v>
      </c>
      <c r="F8" s="20" t="s">
        <v>10</v>
      </c>
      <c r="H8" s="11" t="s">
        <v>17</v>
      </c>
      <c r="I8" s="14">
        <f>3*P11*10^3*P9/$C$9^3</f>
        <v>92.503124999999997</v>
      </c>
      <c r="J8" s="40">
        <f>3*Q11*10^3*Q9/$D$9^3</f>
        <v>866.36901812841188</v>
      </c>
      <c r="K8" s="14">
        <f>3*R11*10^3*R9/$E$9^3</f>
        <v>110.07248937070317</v>
      </c>
      <c r="L8" s="13" t="s">
        <v>18</v>
      </c>
      <c r="N8" s="15"/>
      <c r="O8" s="29" t="s">
        <v>35</v>
      </c>
      <c r="P8" s="29" t="s">
        <v>36</v>
      </c>
      <c r="Q8" s="48" t="s">
        <v>94</v>
      </c>
      <c r="R8" s="29" t="s">
        <v>59</v>
      </c>
      <c r="S8" s="17"/>
      <c r="T8" s="12"/>
    </row>
    <row r="9" spans="2:20" x14ac:dyDescent="0.3">
      <c r="B9" s="11" t="s">
        <v>8</v>
      </c>
      <c r="C9" s="12">
        <v>400</v>
      </c>
      <c r="D9" s="50">
        <v>380</v>
      </c>
      <c r="E9" s="12">
        <v>400</v>
      </c>
      <c r="F9" s="13" t="s">
        <v>12</v>
      </c>
      <c r="H9" s="11" t="s">
        <v>17</v>
      </c>
      <c r="I9" s="14">
        <f>I8*1000</f>
        <v>92503.125</v>
      </c>
      <c r="J9" s="40">
        <f>J8*1000</f>
        <v>866369.01812841184</v>
      </c>
      <c r="K9" s="14">
        <f>K8*1000</f>
        <v>110072.48937070317</v>
      </c>
      <c r="L9" s="13" t="s">
        <v>19</v>
      </c>
      <c r="N9" s="11" t="s">
        <v>37</v>
      </c>
      <c r="O9" s="12">
        <v>24974</v>
      </c>
      <c r="P9" s="12">
        <v>28600</v>
      </c>
      <c r="Q9" s="40">
        <f>((25.4*2)^4)/12-((1.75*25.4)^4)/12</f>
        <v>229658.94088281266</v>
      </c>
      <c r="R9" s="14">
        <f>((27.5^4)/12)-(25.4^4)/12</f>
        <v>12973.553075000003</v>
      </c>
      <c r="S9" s="13" t="s">
        <v>33</v>
      </c>
      <c r="T9" s="12"/>
    </row>
    <row r="10" spans="2:20" x14ac:dyDescent="0.3">
      <c r="B10" s="11" t="s">
        <v>0</v>
      </c>
      <c r="C10" s="14">
        <f>45/2</f>
        <v>22.5</v>
      </c>
      <c r="D10" s="49">
        <v>50</v>
      </c>
      <c r="E10" s="14">
        <f>45/2</f>
        <v>22.5</v>
      </c>
      <c r="F10" s="13" t="s">
        <v>12</v>
      </c>
      <c r="H10" s="11" t="s">
        <v>20</v>
      </c>
      <c r="I10" s="12">
        <f>P11*10^9*P10/$C$9</f>
        <v>60694444444.444443</v>
      </c>
      <c r="J10" s="41">
        <f>Q11*10^9*Q10/$D$9</f>
        <v>109825756578.94743</v>
      </c>
      <c r="K10" s="12">
        <f>R11*10^9*R10/$E$9</f>
        <v>48577967359.999969</v>
      </c>
      <c r="L10" s="13" t="s">
        <v>18</v>
      </c>
      <c r="N10" s="11" t="s">
        <v>38</v>
      </c>
      <c r="O10" s="12">
        <v>277</v>
      </c>
      <c r="P10" s="14">
        <f>(0.95/2700)*1000^2</f>
        <v>351.85185185185185</v>
      </c>
      <c r="Q10" s="40">
        <f>((25.4*2)^2)-((25.4*1.75)^2)</f>
        <v>604.83750000000032</v>
      </c>
      <c r="R10" s="14">
        <f>((25.4*1.08)^2)-((25.4*1)^2)</f>
        <v>107.35462399999994</v>
      </c>
      <c r="S10" s="13" t="s">
        <v>41</v>
      </c>
      <c r="T10" s="12"/>
    </row>
    <row r="11" spans="2:20" x14ac:dyDescent="0.3">
      <c r="B11" s="11" t="s">
        <v>1</v>
      </c>
      <c r="C11" s="14">
        <v>51</v>
      </c>
      <c r="D11" s="49">
        <v>80</v>
      </c>
      <c r="E11" s="14">
        <v>53</v>
      </c>
      <c r="F11" s="13" t="s">
        <v>12</v>
      </c>
      <c r="H11" s="11" t="s">
        <v>20</v>
      </c>
      <c r="I11" s="14">
        <f>I10/1000</f>
        <v>60694444.44444444</v>
      </c>
      <c r="J11" s="40">
        <f>J10/1000</f>
        <v>109825756.57894744</v>
      </c>
      <c r="K11" s="14">
        <f>K10/1000</f>
        <v>48577967.35999997</v>
      </c>
      <c r="L11" s="13" t="s">
        <v>19</v>
      </c>
      <c r="N11" s="11" t="s">
        <v>39</v>
      </c>
      <c r="O11" s="12">
        <v>19.3</v>
      </c>
      <c r="P11" s="12">
        <v>69</v>
      </c>
      <c r="Q11" s="41">
        <v>69</v>
      </c>
      <c r="R11" s="12">
        <v>181</v>
      </c>
      <c r="S11" s="13" t="s">
        <v>40</v>
      </c>
      <c r="T11" s="12"/>
    </row>
    <row r="12" spans="2:20" x14ac:dyDescent="0.3">
      <c r="B12" s="11" t="s">
        <v>4</v>
      </c>
      <c r="C12" s="14">
        <f>C10</f>
        <v>22.5</v>
      </c>
      <c r="D12" s="49">
        <f>D10</f>
        <v>50</v>
      </c>
      <c r="E12" s="14">
        <f>E10</f>
        <v>22.5</v>
      </c>
      <c r="F12" s="13" t="s">
        <v>12</v>
      </c>
      <c r="H12" s="60" t="s">
        <v>54</v>
      </c>
      <c r="I12" s="12">
        <v>0.5</v>
      </c>
      <c r="J12" s="41">
        <v>0.5</v>
      </c>
      <c r="K12" s="12">
        <v>0.5</v>
      </c>
      <c r="L12" s="13" t="s">
        <v>11</v>
      </c>
      <c r="N12" s="11" t="s">
        <v>67</v>
      </c>
      <c r="O12" s="12">
        <v>0.25</v>
      </c>
      <c r="P12" s="12">
        <v>0.33</v>
      </c>
      <c r="Q12" s="41">
        <v>0.33</v>
      </c>
      <c r="R12" s="12">
        <v>0.25</v>
      </c>
      <c r="S12" s="13"/>
      <c r="T12" s="12"/>
    </row>
    <row r="13" spans="2:20" ht="15" thickBot="1" x14ac:dyDescent="0.35">
      <c r="B13" s="11" t="s">
        <v>5</v>
      </c>
      <c r="C13" s="14">
        <v>14</v>
      </c>
      <c r="D13" s="49">
        <v>14</v>
      </c>
      <c r="E13" s="14">
        <v>14</v>
      </c>
      <c r="F13" s="13" t="s">
        <v>12</v>
      </c>
      <c r="H13" s="11" t="s">
        <v>11</v>
      </c>
      <c r="I13" s="12">
        <v>15</v>
      </c>
      <c r="J13" s="41">
        <v>15</v>
      </c>
      <c r="K13" s="12">
        <v>15</v>
      </c>
      <c r="L13" s="13" t="s">
        <v>24</v>
      </c>
      <c r="N13" s="15" t="s">
        <v>74</v>
      </c>
      <c r="O13" s="16">
        <f>((O11*10^3)/(2*(1+O12)))</f>
        <v>7720</v>
      </c>
      <c r="P13" s="16">
        <f t="shared" ref="P13" si="0">((P11*10^3)/(2*(1+P12)))</f>
        <v>25939.849624060149</v>
      </c>
      <c r="Q13" s="43">
        <f>((Q11*10^3)/(2*(1+Q12)))</f>
        <v>25939.849624060149</v>
      </c>
      <c r="R13" s="16">
        <f>((R11*10^3)/(2*(1+R12)))</f>
        <v>72400</v>
      </c>
      <c r="S13" s="17" t="s">
        <v>53</v>
      </c>
      <c r="T13" s="12"/>
    </row>
    <row r="14" spans="2:20" x14ac:dyDescent="0.3">
      <c r="B14" s="11" t="s">
        <v>6</v>
      </c>
      <c r="C14" s="14">
        <v>50</v>
      </c>
      <c r="D14" s="49">
        <v>80</v>
      </c>
      <c r="E14" s="14">
        <v>50</v>
      </c>
      <c r="F14" s="13" t="s">
        <v>12</v>
      </c>
      <c r="H14" s="11" t="s">
        <v>23</v>
      </c>
      <c r="I14" s="18">
        <f>SQRT(2*9.81*I12)</f>
        <v>3.1320919526731652</v>
      </c>
      <c r="J14" s="42">
        <f>SQRT(2*9.81*J12)</f>
        <v>3.1320919526731652</v>
      </c>
      <c r="K14" s="18">
        <f>SQRT(2*9.81*K12)</f>
        <v>3.1320919526731652</v>
      </c>
      <c r="L14" s="13" t="s">
        <v>22</v>
      </c>
    </row>
    <row r="15" spans="2:20" x14ac:dyDescent="0.3">
      <c r="B15" s="11" t="s">
        <v>7</v>
      </c>
      <c r="C15" s="14">
        <v>30</v>
      </c>
      <c r="D15" s="49">
        <v>50.8</v>
      </c>
      <c r="E15" s="14">
        <v>27.5</v>
      </c>
      <c r="F15" s="13" t="s">
        <v>12</v>
      </c>
      <c r="H15" s="11" t="s">
        <v>27</v>
      </c>
      <c r="I15" s="14">
        <f>2*COS(RADIANS(C8))*I9</f>
        <v>160220.11235889481</v>
      </c>
      <c r="J15" s="40">
        <f>2*COS(RADIANS(D8))*J9</f>
        <v>1500595.1575019711</v>
      </c>
      <c r="K15" s="14">
        <f>2*COS(RADIANS(E8))*K9</f>
        <v>190651.14410564312</v>
      </c>
      <c r="L15" s="13" t="s">
        <v>19</v>
      </c>
      <c r="N15" s="1" t="s">
        <v>42</v>
      </c>
    </row>
    <row r="16" spans="2:20" x14ac:dyDescent="0.3">
      <c r="B16" s="11"/>
      <c r="C16" s="14"/>
      <c r="D16" s="49"/>
      <c r="E16" s="14"/>
      <c r="F16" s="13"/>
      <c r="H16" s="11" t="s">
        <v>28</v>
      </c>
      <c r="I16" s="14">
        <f>(2*SIN(RADIANS(C8))*I11)</f>
        <v>60694444.444444433</v>
      </c>
      <c r="J16" s="40">
        <f>(2*SIN(RADIANS(D8))*J11)</f>
        <v>109825756.57894742</v>
      </c>
      <c r="K16" s="14">
        <f>(2*SIN(RADIANS(E8))*K11)</f>
        <v>48577967.359999962</v>
      </c>
      <c r="L16" s="13" t="s">
        <v>19</v>
      </c>
      <c r="N16" s="1" t="s">
        <v>43</v>
      </c>
    </row>
    <row r="17" spans="2:14" x14ac:dyDescent="0.3">
      <c r="B17" s="11" t="s">
        <v>13</v>
      </c>
      <c r="C17" s="14">
        <f>(C7/(2*COS(RADIANS(C8)))-(C7*C9/(2*C10)))/(1-(C10+C11)/C10)</f>
        <v>17781.154364305406</v>
      </c>
      <c r="D17" s="49">
        <f>(D7/(2*COS(RADIANS(D8)))-(D7*D9/(2*D10)))/(1-(D10+D11)/D10)</f>
        <v>29727.482964206709</v>
      </c>
      <c r="E17" s="14">
        <f>(E7/(2*COS(RADIANS(E8)))-(E7*E9/(2*E10)))/(1-(E10+E11)/E10)</f>
        <v>18652.513352760361</v>
      </c>
      <c r="F17" s="13" t="s">
        <v>9</v>
      </c>
      <c r="H17" s="11" t="s">
        <v>21</v>
      </c>
      <c r="I17" s="14">
        <f>(1/I15+1/I16)^-1</f>
        <v>159798.27970906836</v>
      </c>
      <c r="J17" s="40">
        <f>(1/J15+1/J16)^-1</f>
        <v>1480368.2678968112</v>
      </c>
      <c r="K17" s="14">
        <f>(1/K15+1/K16)^-1</f>
        <v>189905.83165137027</v>
      </c>
      <c r="L17" s="13" t="s">
        <v>19</v>
      </c>
      <c r="N17" s="1" t="s">
        <v>55</v>
      </c>
    </row>
    <row r="18" spans="2:14" x14ac:dyDescent="0.3">
      <c r="B18" s="11" t="s">
        <v>14</v>
      </c>
      <c r="C18" s="14">
        <f>(C17*(C10+C11)-C7/2*C9)/C10</f>
        <v>14981.492666933773</v>
      </c>
      <c r="D18" s="49">
        <f>(D17*(D10+D11)-D7/2*D9)/D10</f>
        <v>21206.211724518427</v>
      </c>
      <c r="E18" s="14">
        <f>(E17*(E10+E11)-E7/2*E9)/E10</f>
        <v>15600.484348556813</v>
      </c>
      <c r="F18" s="13" t="s">
        <v>9</v>
      </c>
      <c r="H18" s="11" t="s">
        <v>25</v>
      </c>
      <c r="I18" s="14">
        <f>0.5*I13*I14^2</f>
        <v>73.575000000000003</v>
      </c>
      <c r="J18" s="40">
        <f>0.5*J13*J14^2</f>
        <v>73.575000000000003</v>
      </c>
      <c r="K18" s="14">
        <f>0.5*K13*K14^2</f>
        <v>73.575000000000003</v>
      </c>
      <c r="L18" s="13" t="s">
        <v>29</v>
      </c>
      <c r="N18" s="1" t="s">
        <v>57</v>
      </c>
    </row>
    <row r="19" spans="2:14" x14ac:dyDescent="0.3">
      <c r="B19" s="11" t="s">
        <v>15</v>
      </c>
      <c r="C19" s="14">
        <f t="shared" ref="C19:E20" si="1">C17</f>
        <v>17781.154364305406</v>
      </c>
      <c r="D19" s="49">
        <f>D17</f>
        <v>29727.482964206709</v>
      </c>
      <c r="E19" s="14">
        <f t="shared" si="1"/>
        <v>18652.513352760361</v>
      </c>
      <c r="F19" s="13" t="s">
        <v>9</v>
      </c>
      <c r="H19" s="11"/>
      <c r="I19" s="12"/>
      <c r="J19" s="41"/>
      <c r="K19" s="12"/>
      <c r="L19" s="13"/>
      <c r="N19" s="1" t="s">
        <v>58</v>
      </c>
    </row>
    <row r="20" spans="2:14" ht="15" thickBot="1" x14ac:dyDescent="0.35">
      <c r="B20" s="15" t="s">
        <v>16</v>
      </c>
      <c r="C20" s="16">
        <f t="shared" si="1"/>
        <v>14981.492666933773</v>
      </c>
      <c r="D20" s="51">
        <f>D18</f>
        <v>21206.211724518427</v>
      </c>
      <c r="E20" s="16">
        <f t="shared" si="1"/>
        <v>15600.484348556813</v>
      </c>
      <c r="F20" s="17" t="s">
        <v>9</v>
      </c>
      <c r="H20" s="15" t="s">
        <v>26</v>
      </c>
      <c r="I20" s="16">
        <f>SQRT(2*I17*I18)</f>
        <v>4849.1563038521872</v>
      </c>
      <c r="J20" s="43">
        <f>SQRT(2*J17*J18)</f>
        <v>14759.27473221553</v>
      </c>
      <c r="K20" s="16">
        <f>SQRT(2*K17*K18)</f>
        <v>5286.2693014543947</v>
      </c>
      <c r="L20" s="17" t="s">
        <v>9</v>
      </c>
      <c r="N20" s="1" t="s">
        <v>60</v>
      </c>
    </row>
    <row r="21" spans="2:14" ht="15" thickBot="1" x14ac:dyDescent="0.35">
      <c r="C21" s="2"/>
      <c r="D21" s="44"/>
      <c r="E21" s="2"/>
      <c r="I21" s="2"/>
      <c r="J21" s="44"/>
      <c r="K21" s="2"/>
      <c r="N21" s="1" t="s">
        <v>61</v>
      </c>
    </row>
    <row r="22" spans="2:14" ht="15" thickBot="1" x14ac:dyDescent="0.35">
      <c r="B22" s="21" t="s">
        <v>81</v>
      </c>
      <c r="C22" s="30"/>
      <c r="D22" s="52"/>
      <c r="E22" s="30"/>
      <c r="F22" s="23"/>
      <c r="H22" s="8" t="s">
        <v>30</v>
      </c>
      <c r="I22" s="19">
        <f>2.3*C7/((2*C10-2*C13)*20)</f>
        <v>32.803116173117736</v>
      </c>
      <c r="J22" s="45">
        <f>2.3*D7/((2*D10-2*D13)*20)</f>
        <v>23.573841586177579</v>
      </c>
      <c r="K22" s="19">
        <f>2.3*E7/((2*E10-2*E13)*20)</f>
        <v>35.760057039250313</v>
      </c>
      <c r="L22" s="10"/>
    </row>
    <row r="23" spans="2:14" x14ac:dyDescent="0.3">
      <c r="B23" s="11" t="s">
        <v>80</v>
      </c>
      <c r="C23" s="25">
        <f>-C19*C14</f>
        <v>-889057.71821527032</v>
      </c>
      <c r="D23" s="53">
        <f>D19*D14</f>
        <v>2378198.6371365367</v>
      </c>
      <c r="E23" s="32">
        <f>-E19*E14</f>
        <v>-932625.66763801803</v>
      </c>
      <c r="F23" s="13" t="s">
        <v>64</v>
      </c>
      <c r="H23" s="11" t="s">
        <v>32</v>
      </c>
      <c r="I23" s="14">
        <f>P9</f>
        <v>28600</v>
      </c>
      <c r="J23" s="40">
        <f>Q9</f>
        <v>229658.94088281266</v>
      </c>
      <c r="K23" s="14">
        <f>R9</f>
        <v>12973.553075000003</v>
      </c>
      <c r="L23" s="13" t="s">
        <v>33</v>
      </c>
    </row>
    <row r="24" spans="2:14" ht="15" thickBot="1" x14ac:dyDescent="0.35">
      <c r="B24" s="11" t="s">
        <v>31</v>
      </c>
      <c r="C24" s="14">
        <f>C23/I23*C15/2</f>
        <v>-466.28901304996697</v>
      </c>
      <c r="D24" s="40">
        <f>D23/J23*D15/2</f>
        <v>263.02588155751937</v>
      </c>
      <c r="E24" s="14">
        <f>(E23/K23)*(E15/2)</f>
        <v>-988.4418598274201</v>
      </c>
      <c r="F24" s="13" t="s">
        <v>53</v>
      </c>
      <c r="H24" s="15" t="s">
        <v>66</v>
      </c>
      <c r="I24" s="26">
        <v>28600</v>
      </c>
      <c r="J24" s="46">
        <f>((25.4*1.5)^4-(25.4*1.25)^4)/6</f>
        <v>181830.26469895817</v>
      </c>
      <c r="K24" s="31">
        <v>99994.096384375007</v>
      </c>
      <c r="L24" s="17" t="s">
        <v>33</v>
      </c>
    </row>
    <row r="25" spans="2:14" ht="15" thickBot="1" x14ac:dyDescent="0.35">
      <c r="B25" s="15" t="s">
        <v>44</v>
      </c>
      <c r="C25" s="16">
        <f>C17/C15^2</f>
        <v>19.756838182561562</v>
      </c>
      <c r="D25" s="59">
        <f>D17/D15^2</f>
        <v>11.519422687475474</v>
      </c>
      <c r="E25" s="16">
        <f>E17/E15^2</f>
        <v>24.664480466459981</v>
      </c>
      <c r="F25" s="17" t="s">
        <v>53</v>
      </c>
    </row>
    <row r="26" spans="2:14" ht="15" thickBot="1" x14ac:dyDescent="0.35">
      <c r="C26" s="2"/>
      <c r="D26" s="44"/>
      <c r="E26" s="2"/>
    </row>
    <row r="27" spans="2:14" ht="15" thickBot="1" x14ac:dyDescent="0.35">
      <c r="B27" s="21" t="s">
        <v>82</v>
      </c>
      <c r="C27" s="30"/>
      <c r="D27" s="52"/>
      <c r="E27" s="30"/>
      <c r="F27" s="23"/>
      <c r="I27" s="2"/>
      <c r="J27" s="2"/>
      <c r="K27" s="4"/>
    </row>
    <row r="28" spans="2:14" x14ac:dyDescent="0.3">
      <c r="B28" s="11" t="s">
        <v>80</v>
      </c>
      <c r="C28" s="24">
        <f>(C7/2)*C9</f>
        <v>969831.26077043742</v>
      </c>
      <c r="D28" s="54">
        <f>(D7/2)*D9</f>
        <v>2804262.1991209509</v>
      </c>
      <c r="E28" s="24">
        <f>(E7/2)*E9</f>
        <v>1057253.8602908789</v>
      </c>
      <c r="F28" s="13" t="s">
        <v>64</v>
      </c>
      <c r="I28" s="2"/>
      <c r="J28" s="2"/>
      <c r="K28" s="4"/>
    </row>
    <row r="29" spans="2:14" ht="15" thickBot="1" x14ac:dyDescent="0.35">
      <c r="B29" s="15" t="s">
        <v>31</v>
      </c>
      <c r="C29" s="16">
        <f>C28/I23*C15/2</f>
        <v>508.65275914533436</v>
      </c>
      <c r="D29" s="43">
        <f>D28/J23*D15/2</f>
        <v>310.14799416852475</v>
      </c>
      <c r="E29" s="16">
        <f>E28/K23*E15/2</f>
        <v>1120.52885550781</v>
      </c>
      <c r="F29" s="17" t="s">
        <v>53</v>
      </c>
      <c r="I29" s="2"/>
      <c r="J29" s="2"/>
      <c r="K29" s="4"/>
    </row>
    <row r="30" spans="2:14" ht="15" thickBot="1" x14ac:dyDescent="0.35">
      <c r="C30" s="2"/>
      <c r="D30" s="44"/>
      <c r="E30" s="2"/>
      <c r="I30" s="2"/>
      <c r="J30" s="2"/>
      <c r="K30" s="4"/>
    </row>
    <row r="31" spans="2:14" x14ac:dyDescent="0.3">
      <c r="B31" s="8" t="s">
        <v>78</v>
      </c>
      <c r="C31" s="19">
        <v>240</v>
      </c>
      <c r="D31" s="45">
        <v>240</v>
      </c>
      <c r="E31" s="19">
        <f>89000*0.00689476</f>
        <v>613.63364000000001</v>
      </c>
      <c r="F31" s="10" t="s">
        <v>53</v>
      </c>
    </row>
    <row r="32" spans="2:14" ht="15" thickBot="1" x14ac:dyDescent="0.35">
      <c r="B32" s="15" t="s">
        <v>79</v>
      </c>
      <c r="C32" s="16">
        <v>275</v>
      </c>
      <c r="D32" s="43">
        <v>275</v>
      </c>
      <c r="E32" s="16">
        <f>174000*0.00689476</f>
        <v>1199.68824</v>
      </c>
      <c r="F32" s="17" t="s">
        <v>53</v>
      </c>
      <c r="H32" s="1" t="s">
        <v>68</v>
      </c>
    </row>
    <row r="33" spans="2:8" ht="15" thickBot="1" x14ac:dyDescent="0.35">
      <c r="D33" s="55"/>
      <c r="H33" s="1" t="s">
        <v>69</v>
      </c>
    </row>
    <row r="34" spans="2:8" x14ac:dyDescent="0.3">
      <c r="B34" s="8" t="s">
        <v>70</v>
      </c>
      <c r="C34" s="9">
        <f t="shared" ref="C34:E34" si="2">0.34/1000</f>
        <v>3.4000000000000002E-4</v>
      </c>
      <c r="D34" s="47">
        <f>0.34/1000</f>
        <v>3.4000000000000002E-4</v>
      </c>
      <c r="E34" s="9">
        <f t="shared" si="2"/>
        <v>3.4000000000000002E-4</v>
      </c>
      <c r="F34" s="10" t="s">
        <v>64</v>
      </c>
      <c r="H34" s="1" t="s">
        <v>72</v>
      </c>
    </row>
    <row r="35" spans="2:8" x14ac:dyDescent="0.3">
      <c r="B35" s="11" t="s">
        <v>65</v>
      </c>
      <c r="C35" s="25">
        <f>C34*C9/(P13*I24)</f>
        <v>1.8331813114421812E-10</v>
      </c>
      <c r="D35" s="56">
        <f>D34*D9/(Q13*J24)</f>
        <v>2.7392324547481915E-11</v>
      </c>
      <c r="E35" s="25">
        <f>E34*E9/(R13*K24)</f>
        <v>1.8785639418684311E-11</v>
      </c>
      <c r="F35" s="13" t="s">
        <v>75</v>
      </c>
      <c r="H35" s="1" t="s">
        <v>73</v>
      </c>
    </row>
    <row r="36" spans="2:8" ht="15" thickBot="1" x14ac:dyDescent="0.35">
      <c r="B36" s="15" t="s">
        <v>71</v>
      </c>
      <c r="C36" s="26">
        <f>C35*C15/2</f>
        <v>2.7497719671632718E-9</v>
      </c>
      <c r="D36" s="46">
        <f>D35*D15/2</f>
        <v>6.9576504350604059E-10</v>
      </c>
      <c r="E36" s="26">
        <f>E35*E15/2</f>
        <v>2.5830254200690929E-10</v>
      </c>
      <c r="F36" s="17" t="s">
        <v>12</v>
      </c>
    </row>
    <row r="37" spans="2:8" ht="15" thickBot="1" x14ac:dyDescent="0.35">
      <c r="D37" s="55"/>
    </row>
    <row r="38" spans="2:8" x14ac:dyDescent="0.3">
      <c r="B38" s="8" t="s">
        <v>76</v>
      </c>
      <c r="C38" s="27">
        <f>C35/C35</f>
        <v>1</v>
      </c>
      <c r="D38" s="57">
        <f>C35/D35</f>
        <v>6.6923174346322476</v>
      </c>
      <c r="E38" s="27">
        <f>C35/E35</f>
        <v>9.7584184950281116</v>
      </c>
      <c r="F38" s="10"/>
    </row>
    <row r="39" spans="2:8" ht="15" thickBot="1" x14ac:dyDescent="0.35">
      <c r="B39" s="15" t="s">
        <v>77</v>
      </c>
      <c r="C39" s="28">
        <f>(0.0000027*P10)/(0.0000027*P10)</f>
        <v>1</v>
      </c>
      <c r="D39" s="58">
        <f>(0.0000027*Q10)/(0.0000027*P10)</f>
        <v>1.719011842105264</v>
      </c>
      <c r="E39" s="28">
        <f>(0.000001854553635*R10)/(0.0000027*P10)</f>
        <v>0.20957358755079805</v>
      </c>
      <c r="F39" s="17"/>
    </row>
  </sheetData>
  <mergeCells count="2">
    <mergeCell ref="N6:S6"/>
    <mergeCell ref="H6:L6"/>
  </mergeCells>
  <hyperlinks>
    <hyperlink ref="N15" r:id="rId1" display="https://haluminium.com/Product/30-series-t-slot-aluminium-extrusion-profile/" xr:uid="{7125D0D7-81A5-46C7-AE10-9A1BE3CCD2EE}"/>
    <hyperlink ref="N16" r:id="rId2" location=":~:text=Les%20principales%20propri%C3%A9t%C3%A9s%20de%20l%E2%80%99aluminium%20sont%20:%20Bon,2,7%20kg/dm3%20Point%20de%20fusion%20:%20658%C2%B0%20C" display="https://almet-metal.com/informations-techniques/donnees-aluminium - :~:text=Les%20principales%20propri%C3%A9t%C3%A9s%20de%20l%E2%80%99aluminium%20sont%20:%20Bon,2,7%20kg/dm3%20Point%20de%20fusion%20:%20658%C2%B0%20C" xr:uid="{D36E74A5-13CB-4822-ADB3-ABA7BCEED73E}"/>
    <hyperlink ref="N17" r:id="rId3" display="https://www.mcmaster.com/6546K56/" xr:uid="{15A8FBC6-B1BF-4490-A3A7-37C6D0074F2B}"/>
    <hyperlink ref="N18" r:id="rId4" display="http://www.pats.ch/formulaire/resmat/resmat3.aspx" xr:uid="{698BBFEE-A621-407D-AED7-8AD0FBD15BA0}"/>
    <hyperlink ref="N19" r:id="rId5" display="https://www.engineeringclicks.com/6061-t6-aluminum/" xr:uid="{C485F521-2ED6-4AD6-B5E4-A14BD5C66D9C}"/>
    <hyperlink ref="N20" r:id="rId6" display="https://www.mcmaster.com/2040N14/" xr:uid="{FFA8B4D9-505C-4B31-BCE5-A4CB3EC60CDA}"/>
    <hyperlink ref="N21" r:id="rId7" location=":~:text=Carbon%20fiber%20has%20much%20higher%20Young's%20modulus%20(is,method%20These%20values%20are%20offered%20for%20comparison%20only." display=":~:text=Carbon%20fiber%20has%20much%20higher%20Young's%20modulus%20(is,method%20These%20values%20are%20offered%20for%20comparison%20only." xr:uid="{3009E9EF-9F6B-465A-B8A0-14AC4392185F}"/>
    <hyperlink ref="H32" r:id="rId8" display="https://www.bing.com/images/search?view=detailV2&amp;ccid=8r9pd4XE&amp;id=268C6A3FB22480F6E886C0AFFF0E4FFE78F44BDE&amp;thid=OIP.8r9pd4XEOzvG8DaYvEBB-wHaEx&amp;mediaurl=https%3a%2f%2fth.bing.com%2fth%2fid%2fRf2bf697785c43b3bc6f03698bc4041fb%3frik%3d3kv0eP5PDv%252bvwA%26riu%3dhttp%253a%252f%252fpolymerdatabase.com%252fpolymer%2bphysics%252fimages%252fPoisson2.png%26ehk%3dwicqnfbMXvjtIHx8CNktTPnVjkDXCflNly7t8FJp7%252fM%253d%26risl%3d%26pid%3dImgRaw&amp;exph=387&amp;expw=601&amp;q=poisson+Young+G&amp;simid=608028504938906975&amp;ck=436B0AAFED4ADFC2F4F755B424496F17&amp;selectedIndex=14&amp;FORM=IRPRST&amp;ajaxhist=0" xr:uid="{559F584A-2A3F-4A35-992B-1025043D6DBD}"/>
    <hyperlink ref="H33" r:id="rId9" display="https://www.technologuepro.com/resistance-des-materiaux-2/chapitre-5-torsion-simple.pdf" xr:uid="{77D8D5BE-3969-458A-9241-AFE181CD55DB}"/>
    <hyperlink ref="H34" r:id="rId10" display="https://sonelastic.com/en/fundamentals/tables-of-materials-properties/composites.html" xr:uid="{862CB328-D199-4A51-B998-A6D8E1A7491C}"/>
    <hyperlink ref="H35" r:id="rId11" display="http://www.btscm.fr/dicocm/T/torsion/" xr:uid="{72FDAFC8-4625-42C7-828A-D108414FE9CF}"/>
  </hyperlinks>
  <pageMargins left="0.7" right="0.7" top="0.75" bottom="0.75" header="0.3" footer="0.3"/>
  <pageSetup paperSize="9" orientation="portrait" r:id="rId12"/>
  <drawing r:id="rId1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EC8C13-66DC-4655-9228-550ED30277BE}">
  <dimension ref="A4:G27"/>
  <sheetViews>
    <sheetView zoomScaleNormal="100" workbookViewId="0">
      <selection activeCell="G15" sqref="G15"/>
    </sheetView>
  </sheetViews>
  <sheetFormatPr baseColWidth="10" defaultRowHeight="14.4" x14ac:dyDescent="0.3"/>
  <cols>
    <col min="1" max="1" width="40.6640625" customWidth="1"/>
    <col min="4" max="4" width="13.5546875" customWidth="1"/>
  </cols>
  <sheetData>
    <row r="4" spans="1:6" x14ac:dyDescent="0.3">
      <c r="F4" s="1" t="s">
        <v>52</v>
      </c>
    </row>
    <row r="5" spans="1:6" x14ac:dyDescent="0.3">
      <c r="F5" s="1" t="s">
        <v>49</v>
      </c>
    </row>
    <row r="7" spans="1:6" x14ac:dyDescent="0.3">
      <c r="B7" t="s">
        <v>36</v>
      </c>
      <c r="C7" t="s">
        <v>99</v>
      </c>
      <c r="D7" t="s">
        <v>63</v>
      </c>
      <c r="F7" t="s">
        <v>98</v>
      </c>
    </row>
    <row r="8" spans="1:6" x14ac:dyDescent="0.3">
      <c r="A8" t="s">
        <v>47</v>
      </c>
      <c r="B8" s="2">
        <f>'Calcules chute 50 cm'!C7/2</f>
        <v>2424.5781519260936</v>
      </c>
      <c r="C8" s="2">
        <f>'Calcules chute 50 cm'!D7/2</f>
        <v>7379.637366107765</v>
      </c>
      <c r="D8" s="2">
        <f>'Calcules chute 50 cm'!E7/2</f>
        <v>2643.1346507271974</v>
      </c>
      <c r="E8" t="s">
        <v>9</v>
      </c>
    </row>
    <row r="9" spans="1:6" x14ac:dyDescent="0.3">
      <c r="A9" t="s">
        <v>48</v>
      </c>
      <c r="B9">
        <v>4.7625000000000002</v>
      </c>
      <c r="C9">
        <v>4.7625000000000002</v>
      </c>
      <c r="D9">
        <v>4.7625000000000002</v>
      </c>
      <c r="E9" t="s">
        <v>12</v>
      </c>
    </row>
    <row r="10" spans="1:6" x14ac:dyDescent="0.3">
      <c r="A10" t="s">
        <v>51</v>
      </c>
      <c r="B10">
        <f>1173</f>
        <v>1173</v>
      </c>
      <c r="C10">
        <f>1173</f>
        <v>1173</v>
      </c>
      <c r="D10">
        <f>1173</f>
        <v>1173</v>
      </c>
      <c r="E10" t="s">
        <v>53</v>
      </c>
    </row>
    <row r="11" spans="1:6" x14ac:dyDescent="0.3">
      <c r="A11" t="s">
        <v>50</v>
      </c>
      <c r="B11">
        <v>300</v>
      </c>
      <c r="C11">
        <v>300</v>
      </c>
      <c r="D11">
        <v>300</v>
      </c>
      <c r="E11" t="s">
        <v>46</v>
      </c>
    </row>
    <row r="14" spans="1:6" x14ac:dyDescent="0.3">
      <c r="A14" t="s">
        <v>83</v>
      </c>
      <c r="B14" s="3">
        <f>(3.14159*(B9^2)/4)</f>
        <v>17.813919765234377</v>
      </c>
      <c r="C14" s="3">
        <f>(3.14159*(C9^2)/4)</f>
        <v>17.813919765234377</v>
      </c>
      <c r="D14" s="3">
        <f>(3.14159*(D9^2)/4)</f>
        <v>17.813919765234377</v>
      </c>
      <c r="E14" t="s">
        <v>41</v>
      </c>
    </row>
    <row r="15" spans="1:6" x14ac:dyDescent="0.3">
      <c r="A15" t="s">
        <v>84</v>
      </c>
      <c r="B15">
        <f t="shared" ref="B15:D15" si="0">B14*(0+0+25+25)/(4*B14)</f>
        <v>12.5</v>
      </c>
      <c r="C15">
        <f>C14*(0+0+25+25)/(4*C14)</f>
        <v>12.5</v>
      </c>
      <c r="D15">
        <f t="shared" si="0"/>
        <v>12.5</v>
      </c>
      <c r="E15" t="s">
        <v>12</v>
      </c>
    </row>
    <row r="16" spans="1:6" x14ac:dyDescent="0.3">
      <c r="A16" t="s">
        <v>85</v>
      </c>
      <c r="B16">
        <v>0</v>
      </c>
      <c r="C16">
        <v>0</v>
      </c>
      <c r="D16">
        <v>0</v>
      </c>
      <c r="E16" t="s">
        <v>12</v>
      </c>
    </row>
    <row r="17" spans="1:7" x14ac:dyDescent="0.3">
      <c r="A17" t="s">
        <v>87</v>
      </c>
      <c r="B17" s="2">
        <f>B8*COS(70*3.14159/180)/(4*B14)</f>
        <v>11.637765987350789</v>
      </c>
      <c r="C17" s="2">
        <f>C8*COS(70*3.14159/180)/(4*C14)</f>
        <v>35.421622796545684</v>
      </c>
      <c r="D17" s="2">
        <f>D8*COS(70*3.14159/180)/(4*D14)</f>
        <v>12.68681832911234</v>
      </c>
      <c r="E17" t="s">
        <v>53</v>
      </c>
    </row>
    <row r="18" spans="1:7" x14ac:dyDescent="0.3">
      <c r="A18" t="s">
        <v>86</v>
      </c>
      <c r="B18" s="6">
        <f>B9*SIN(70*3.14159/180)/(4*B14)</f>
        <v>6.2806003458998991E-2</v>
      </c>
      <c r="C18" s="6">
        <f>C9*SIN(70*3.14159/180)/(4*C14)</f>
        <v>6.2806003458998991E-2</v>
      </c>
      <c r="D18" s="6">
        <f>D9*SIN(70*3.14159/180)/(4*D14)</f>
        <v>6.2806003458998991E-2</v>
      </c>
      <c r="E18" t="s">
        <v>53</v>
      </c>
    </row>
    <row r="19" spans="1:7" x14ac:dyDescent="0.3">
      <c r="A19" t="s">
        <v>90</v>
      </c>
      <c r="B19" s="2">
        <f>B8*SIN(70*3.14159/180)*225</f>
        <v>512630.40197967895</v>
      </c>
      <c r="C19" s="2">
        <f>C8*SIN(70*3.14159/180)*225</f>
        <v>1560282.3387841026</v>
      </c>
      <c r="D19" s="2">
        <f>D8*SIN(70*3.14159/180)*225</f>
        <v>558839.96868169564</v>
      </c>
      <c r="E19" t="s">
        <v>9</v>
      </c>
      <c r="F19" s="61"/>
      <c r="G19" s="61"/>
    </row>
    <row r="20" spans="1:7" x14ac:dyDescent="0.3">
      <c r="A20" t="s">
        <v>89</v>
      </c>
      <c r="B20" s="2">
        <f t="shared" ref="B20:D20" si="1">B19/(B14*(4*25^2+4*10^2))</f>
        <v>9.9230885992821261</v>
      </c>
      <c r="C20" s="2">
        <f t="shared" si="1"/>
        <v>30.202695407564867</v>
      </c>
      <c r="D20" s="2">
        <f t="shared" si="1"/>
        <v>10.817576368145913</v>
      </c>
      <c r="E20" t="s">
        <v>53</v>
      </c>
      <c r="F20" s="61"/>
      <c r="G20" s="61"/>
    </row>
    <row r="21" spans="1:7" x14ac:dyDescent="0.3">
      <c r="A21" t="s">
        <v>88</v>
      </c>
      <c r="B21" s="2">
        <v>0</v>
      </c>
      <c r="C21" s="2">
        <v>0</v>
      </c>
      <c r="D21" s="2">
        <v>0</v>
      </c>
      <c r="E21" t="s">
        <v>53</v>
      </c>
      <c r="F21" s="61"/>
      <c r="G21" s="61"/>
    </row>
    <row r="22" spans="1:7" x14ac:dyDescent="0.3">
      <c r="A22" t="s">
        <v>91</v>
      </c>
      <c r="B22" s="5">
        <f t="shared" ref="B22:D22" si="2">SQRT((B17+B20)^2+(B18+B21)^2)</f>
        <v>21.560946062267305</v>
      </c>
      <c r="C22" s="5">
        <f>SQRT((C17+C20)^2+(C18+C21)^2)</f>
        <v>65.624348258465972</v>
      </c>
      <c r="D22" s="5">
        <f t="shared" si="2"/>
        <v>23.504478608949665</v>
      </c>
      <c r="E22" t="s">
        <v>53</v>
      </c>
    </row>
    <row r="25" spans="1:7" x14ac:dyDescent="0.3">
      <c r="A25" s="33" t="s">
        <v>92</v>
      </c>
      <c r="B25" s="7" t="s">
        <v>95</v>
      </c>
      <c r="C25" s="7"/>
      <c r="D25" s="7"/>
      <c r="E25" s="7"/>
      <c r="F25" s="7"/>
      <c r="G25" s="7"/>
    </row>
    <row r="26" spans="1:7" x14ac:dyDescent="0.3">
      <c r="A26" s="7" t="s">
        <v>96</v>
      </c>
      <c r="B26" s="34">
        <f>C22*C14*0.22480894</f>
        <v>262.80769249282883</v>
      </c>
      <c r="C26" s="7" t="s">
        <v>93</v>
      </c>
      <c r="D26" s="7"/>
      <c r="E26" s="7"/>
      <c r="F26" s="7"/>
      <c r="G26" s="7"/>
    </row>
    <row r="27" spans="1:7" x14ac:dyDescent="0.3">
      <c r="A27" s="7" t="s">
        <v>97</v>
      </c>
      <c r="B27" s="34">
        <f>2650/2*325/20/(C14*4)</f>
        <v>302.16889774619341</v>
      </c>
      <c r="C27" s="7" t="s">
        <v>93</v>
      </c>
      <c r="D27" s="7"/>
      <c r="E27" s="7"/>
      <c r="F27" s="7"/>
      <c r="G27" s="7"/>
    </row>
  </sheetData>
  <hyperlinks>
    <hyperlink ref="F5" r:id="rId1" location=":~:text=Most%20steels%20have%20an%20endurance%20or%20fatigue%20limit,106%20Pa%20=%201%20N/mm2=%20145.0%20psi%20(lbf/in2)" display="https://www.engineeringtoolbox.com/steel-endurance-limit-d_1781.html - :~:text=Most%20steels%20have%20an%20endurance%20or%20fatigue%20limit,106%20Pa%20=%201%20N/mm2=%20145.0%20psi%20(lbf/in2)" xr:uid="{CB96E03E-5954-461B-9BFB-1C5558AC4605}"/>
    <hyperlink ref="F4" r:id="rId2" display="https://www.mcmaster.com/91290A310/" xr:uid="{44336CEA-CDCE-460E-9BE4-F8EB33A271D1}"/>
    <hyperlink ref="A25" r:id="rId3" display="https://www.mcmaster.com/Rivets/aluminum-domed-head-blind-rivets/" xr:uid="{B9E5795F-F490-4D98-A792-CAC77AF486F0}"/>
  </hyperlinks>
  <pageMargins left="0.7" right="0.7" top="0.75" bottom="0.75" header="0.3" footer="0.3"/>
  <drawing r:id="rId4"/>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7F787CE9756CD14AAEA1D45CDBF04202" ma:contentTypeVersion="12" ma:contentTypeDescription="Crée un document." ma:contentTypeScope="" ma:versionID="e20a61f371551263c06f7dcc9104b38c">
  <xsd:schema xmlns:xsd="http://www.w3.org/2001/XMLSchema" xmlns:xs="http://www.w3.org/2001/XMLSchema" xmlns:p="http://schemas.microsoft.com/office/2006/metadata/properties" xmlns:ns2="aa072258-9ea7-43b3-affe-dd4ca445c6cc" xmlns:ns3="874c727f-91c0-4895-a40a-c96c7e464838" targetNamespace="http://schemas.microsoft.com/office/2006/metadata/properties" ma:root="true" ma:fieldsID="eca27a570427a2ab405e5ddb27550556" ns2:_="" ns3:_="">
    <xsd:import namespace="aa072258-9ea7-43b3-affe-dd4ca445c6cc"/>
    <xsd:import namespace="874c727f-91c0-4895-a40a-c96c7e464838"/>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OCR" minOccurs="0"/>
                <xsd:element ref="ns2:MediaServiceGenerationTime" minOccurs="0"/>
                <xsd:element ref="ns2:MediaServiceEventHashCode" minOccurs="0"/>
                <xsd:element ref="ns2:MediaServiceDateTaken" minOccurs="0"/>
                <xsd:element ref="ns2:MediaServiceLocation" minOccurs="0"/>
                <xsd:element ref="ns2:MediaServiceAutoKeyPoints" minOccurs="0"/>
                <xsd:element ref="ns2:MediaServiceKeyPoints"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aa072258-9ea7-43b3-affe-dd4ca445c6cc"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OCR" ma:index="11" nillable="true" ma:displayName="Extracted Text" ma:internalName="MediaServiceOCR" ma:readOnly="true">
      <xsd:simpleType>
        <xsd:restriction base="dms:Note">
          <xsd:maxLength value="255"/>
        </xsd:restriction>
      </xsd:simpleType>
    </xsd:element>
    <xsd:element name="MediaServiceGenerationTime" ma:index="12" nillable="true" ma:displayName="MediaServiceGenerationTime" ma:hidden="true" ma:internalName="MediaServiceGenerationTime" ma:readOnly="true">
      <xsd:simpleType>
        <xsd:restriction base="dms:Text"/>
      </xsd:simpleType>
    </xsd:element>
    <xsd:element name="MediaServiceEventHashCode" ma:index="13" nillable="true" ma:displayName="MediaServiceEventHashCode" ma:hidden="true" ma:internalName="MediaServiceEventHashCode" ma:readOnly="true">
      <xsd:simpleType>
        <xsd:restriction base="dms:Text"/>
      </xsd:simpleType>
    </xsd:element>
    <xsd:element name="MediaServiceDateTaken" ma:index="14" nillable="true" ma:displayName="MediaServiceDateTaken" ma:hidden="true" ma:internalName="MediaServiceDateTaken" ma:readOnly="true">
      <xsd:simpleType>
        <xsd:restriction base="dms:Text"/>
      </xsd:simpleType>
    </xsd:element>
    <xsd:element name="MediaServiceLocation" ma:index="15" nillable="true" ma:displayName="Location" ma:internalName="MediaServiceLocation"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874c727f-91c0-4895-a40a-c96c7e464838" elementFormDefault="qualified">
    <xsd:import namespace="http://schemas.microsoft.com/office/2006/documentManagement/types"/>
    <xsd:import namespace="http://schemas.microsoft.com/office/infopath/2007/PartnerControls"/>
    <xsd:element name="SharedWithUsers" ma:index="18" nillable="true" ma:displayName="Partagé avec"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9" nillable="true" ma:displayName="Partagé avec dé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xsd:element ref="dc:title" minOccurs="0" maxOccurs="1" ma:index="4" ma:displayName="Titr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EF5D473F-6D71-4D4A-A1B0-7E1612388754}">
  <ds:schemaRefs>
    <ds:schemaRef ds:uri="http://schemas.microsoft.com/sharepoint/v3/contenttype/forms"/>
  </ds:schemaRefs>
</ds:datastoreItem>
</file>

<file path=customXml/itemProps2.xml><?xml version="1.0" encoding="utf-8"?>
<ds:datastoreItem xmlns:ds="http://schemas.openxmlformats.org/officeDocument/2006/customXml" ds:itemID="{9E43AEC1-9966-42B2-8FEB-2B2BB4E5C089}">
  <ds:schemaRefs>
    <ds:schemaRef ds:uri="http://schemas.microsoft.com/office/infopath/2007/PartnerControls"/>
    <ds:schemaRef ds:uri="http://schemas.microsoft.com/office/2006/documentManagement/types"/>
    <ds:schemaRef ds:uri="http://purl.org/dc/elements/1.1/"/>
    <ds:schemaRef ds:uri="http://schemas.openxmlformats.org/package/2006/metadata/core-properties"/>
    <ds:schemaRef ds:uri="c1c4d9e9-b7b2-494e-bdd8-9efd796f362a"/>
    <ds:schemaRef ds:uri="http://purl.org/dc/terms/"/>
    <ds:schemaRef ds:uri="http://www.w3.org/XML/1998/namespace"/>
    <ds:schemaRef ds:uri="http://schemas.microsoft.com/office/2006/metadata/properties"/>
    <ds:schemaRef ds:uri="http://purl.org/dc/dcmitype/"/>
  </ds:schemaRefs>
</ds:datastoreItem>
</file>

<file path=customXml/itemProps3.xml><?xml version="1.0" encoding="utf-8"?>
<ds:datastoreItem xmlns:ds="http://schemas.openxmlformats.org/officeDocument/2006/customXml" ds:itemID="{AAF4211E-3D3A-4696-9078-135BB6F20D51}"/>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2</vt:i4>
      </vt:variant>
    </vt:vector>
  </HeadingPairs>
  <TitlesOfParts>
    <vt:vector size="2" baseType="lpstr">
      <vt:lpstr>Calcules chute 50 cm</vt:lpstr>
      <vt:lpstr>Calcules rivets cisaillement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Anthony Marchand</dc:creator>
  <cp:lastModifiedBy>Nicolas Morin</cp:lastModifiedBy>
  <dcterms:created xsi:type="dcterms:W3CDTF">2021-02-05T04:45:39Z</dcterms:created>
  <dcterms:modified xsi:type="dcterms:W3CDTF">2021-04-27T19:31:07Z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0x0101007F787CE9756CD14AAEA1D45CDBF04202</vt:lpwstr>
  </property>
</Properties>
</file>